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4220" windowHeight="8700" activeTab="0"/>
  </bookViews>
  <sheets>
    <sheet name="Calculo" sheetId="1" r:id="rId1"/>
  </sheets>
  <definedNames>
    <definedName name="_xlnm.Print_Area" localSheetId="0">'Calculo'!$A$10:$AZ$44</definedName>
  </definedNames>
  <calcPr fullCalcOnLoad="1"/>
</workbook>
</file>

<file path=xl/sharedStrings.xml><?xml version="1.0" encoding="utf-8"?>
<sst xmlns="http://schemas.openxmlformats.org/spreadsheetml/2006/main" count="143" uniqueCount="95">
  <si>
    <t>Certificado nº:</t>
  </si>
  <si>
    <t>Ponto</t>
  </si>
  <si>
    <t>Média (Estimativa)</t>
  </si>
  <si>
    <t>Incerteza Padrão</t>
  </si>
  <si>
    <t>Unidade</t>
  </si>
  <si>
    <t>Y1</t>
  </si>
  <si>
    <t>Y2</t>
  </si>
  <si>
    <t>Y3</t>
  </si>
  <si>
    <t>Y4</t>
  </si>
  <si>
    <t>Y5</t>
  </si>
  <si>
    <t>Resolução</t>
  </si>
  <si>
    <t>[%]</t>
  </si>
  <si>
    <t>k</t>
  </si>
  <si>
    <t>Incerteza Padrão Combinada</t>
  </si>
  <si>
    <t>Resultado da</t>
  </si>
  <si>
    <t>Graus de Liberdade</t>
  </si>
  <si>
    <t>Incerteza Expandida</t>
  </si>
  <si>
    <t>Efetivo</t>
  </si>
  <si>
    <t>Incerteza Relativa</t>
  </si>
  <si>
    <t>[-]</t>
  </si>
  <si>
    <t>Incerteza</t>
  </si>
  <si>
    <t>Expandida</t>
  </si>
  <si>
    <t>Percentual da</t>
  </si>
  <si>
    <t>Calibração</t>
  </si>
  <si>
    <t>Fator de</t>
  </si>
  <si>
    <t>Abrangência</t>
  </si>
  <si>
    <t>Incerteza Padrão Relativa</t>
  </si>
  <si>
    <t>X1</t>
  </si>
  <si>
    <t>X2</t>
  </si>
  <si>
    <t>X3</t>
  </si>
  <si>
    <t>X4</t>
  </si>
  <si>
    <t>X5</t>
  </si>
  <si>
    <t>Média Estimativa</t>
  </si>
  <si>
    <t xml:space="preserve"> </t>
  </si>
  <si>
    <t>Medidas em:</t>
  </si>
  <si>
    <t>P</t>
  </si>
  <si>
    <t>O</t>
  </si>
  <si>
    <t>N</t>
  </si>
  <si>
    <t>T</t>
  </si>
  <si>
    <t>CALIBRAÇÃO DE PLUVIOMETRO</t>
  </si>
  <si>
    <t>g</t>
  </si>
  <si>
    <t>mm</t>
  </si>
  <si>
    <t>Basculadas</t>
  </si>
  <si>
    <t>Densidade da água</t>
  </si>
  <si>
    <t>23+/-2 oC</t>
  </si>
  <si>
    <t>Medida</t>
  </si>
  <si>
    <t>Erro</t>
  </si>
  <si>
    <t>Quantidade</t>
  </si>
  <si>
    <t>Esperada</t>
  </si>
  <si>
    <t>Desvio Padrão</t>
  </si>
  <si>
    <t xml:space="preserve">Incerteza Padrão </t>
  </si>
  <si>
    <t>de Medição Uexp</t>
  </si>
  <si>
    <t xml:space="preserve"> [%]</t>
  </si>
  <si>
    <t>RESOLUÇÃO (mm):</t>
  </si>
  <si>
    <t>B</t>
  </si>
  <si>
    <t>U</t>
  </si>
  <si>
    <t>Pt</t>
  </si>
  <si>
    <t>PLANILHA DE CÁLCULOS DE INCERTEZAS</t>
  </si>
  <si>
    <r>
      <t>FABRICANTE: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Vaisala.</t>
    </r>
  </si>
  <si>
    <r>
      <t>EQUIPAMENTO: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Pluviômetro  </t>
    </r>
    <r>
      <rPr>
        <b/>
        <sz val="11"/>
        <rFont val="Arial"/>
        <family val="2"/>
      </rPr>
      <t>Modelo: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444A</t>
    </r>
    <r>
      <rPr>
        <b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>n/s:</t>
    </r>
    <r>
      <rPr>
        <b/>
        <sz val="11"/>
        <color indexed="10"/>
        <rFont val="Arial"/>
        <family val="2"/>
      </rPr>
      <t>XXXX</t>
    </r>
  </si>
  <si>
    <r>
      <t>USUÁRIO: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xxxxxxxxxxxxxx</t>
    </r>
    <r>
      <rPr>
        <b/>
        <sz val="11"/>
        <color indexed="12"/>
        <rFont val="Arial"/>
        <family val="2"/>
      </rPr>
      <t xml:space="preserve">   </t>
    </r>
    <r>
      <rPr>
        <b/>
        <sz val="11"/>
        <rFont val="Arial"/>
        <family val="2"/>
      </rPr>
      <t>TESTES REALIZADOS POR: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xxxxxxxxxxxxxx</t>
    </r>
    <r>
      <rPr>
        <b/>
        <sz val="11"/>
        <color indexed="12"/>
        <rFont val="Arial"/>
        <family val="2"/>
      </rPr>
      <t xml:space="preserve">  </t>
    </r>
    <r>
      <rPr>
        <b/>
        <sz val="11"/>
        <rFont val="Arial"/>
        <family val="2"/>
      </rPr>
      <t>DATA: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xx/xx/2011 A xx/xx/2011</t>
    </r>
  </si>
  <si>
    <t>xxxx-xx</t>
  </si>
  <si>
    <t>a</t>
  </si>
  <si>
    <t>s</t>
  </si>
  <si>
    <t>c</t>
  </si>
  <si>
    <t>u</t>
  </si>
  <si>
    <t>l</t>
  </si>
  <si>
    <t>.</t>
  </si>
  <si>
    <t>Resolução da balança</t>
  </si>
  <si>
    <t>Medidas de massa - objeto sob calibração</t>
  </si>
  <si>
    <t>Verificação do raio de captação</t>
  </si>
  <si>
    <r>
      <t>[</t>
    </r>
    <r>
      <rPr>
        <b/>
        <sz val="10"/>
        <rFont val="Arial"/>
        <family val="2"/>
      </rPr>
      <t>g</t>
    </r>
    <r>
      <rPr>
        <b/>
        <sz val="10"/>
        <rFont val="Symbol"/>
        <family val="1"/>
      </rPr>
      <t>]</t>
    </r>
  </si>
  <si>
    <t>Medidas de mm no objeto sob calibração</t>
  </si>
  <si>
    <t>Média</t>
  </si>
  <si>
    <t>Certificado de calibração do padrão</t>
  </si>
  <si>
    <t>Área de captação</t>
  </si>
  <si>
    <t>[g]</t>
  </si>
  <si>
    <t>Incerteza expandida de medição na calibração de pluviômetro, em porcentagem</t>
  </si>
  <si>
    <t>Medição</t>
  </si>
  <si>
    <t>direita</t>
  </si>
  <si>
    <t>1a. Basculada:</t>
  </si>
  <si>
    <t>Medidas de tempo - objeto sob calibração</t>
  </si>
  <si>
    <t>segundos</t>
  </si>
  <si>
    <t>I</t>
  </si>
  <si>
    <t>Intensidade de</t>
  </si>
  <si>
    <t>[mm/h]</t>
  </si>
  <si>
    <t>RESULTADO DA CALIBRAÇÃO (acumulado)</t>
  </si>
  <si>
    <t>ACUMULADO</t>
  </si>
  <si>
    <t>Preencher  somente os campos em amarelo !!!</t>
  </si>
  <si>
    <t>Experimental</t>
  </si>
  <si>
    <t>X6</t>
  </si>
  <si>
    <t>X7</t>
  </si>
  <si>
    <t>X8</t>
  </si>
  <si>
    <t>X9</t>
  </si>
  <si>
    <t>X10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</si>
</sst>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00000000"/>
    <numFmt numFmtId="185" formatCode="0.0"/>
    <numFmt numFmtId="186" formatCode="0.0000000000"/>
    <numFmt numFmtId="187" formatCode="0.000000000"/>
    <numFmt numFmtId="188" formatCode="0.000"/>
    <numFmt numFmtId="189" formatCode="0.0000"/>
    <numFmt numFmtId="190" formatCode="0.00000"/>
    <numFmt numFmtId="191" formatCode="0.000000"/>
    <numFmt numFmtId="192" formatCode="0.0E+00"/>
    <numFmt numFmtId="193" formatCode="0.0%"/>
    <numFmt numFmtId="194" formatCode="0.000%"/>
    <numFmt numFmtId="195" formatCode="0.0000%"/>
    <numFmt numFmtId="196" formatCode="0.0000000"/>
    <numFmt numFmtId="197" formatCode="0.00000000"/>
    <numFmt numFmtId="198" formatCode="0E+00"/>
    <numFmt numFmtId="199" formatCode="0.000E+00"/>
    <numFmt numFmtId="200" formatCode="0.0000E+00"/>
    <numFmt numFmtId="201" formatCode="&quot;R$ &quot;#,##0.00"/>
    <numFmt numFmtId="202" formatCode="0.00000E+00"/>
    <numFmt numFmtId="203" formatCode="0.0000000E+00"/>
    <numFmt numFmtId="204" formatCode="0.00000000E+00"/>
    <numFmt numFmtId="205" formatCode="0.E+00"/>
    <numFmt numFmtId="206" formatCode="&quot;$&quot;#,##0.00000"/>
    <numFmt numFmtId="207" formatCode="#,##0.00000"/>
    <numFmt numFmtId="208" formatCode="#,##0.0000"/>
    <numFmt numFmtId="209" formatCode="&quot;$&quot;#,##0.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#,##0.00000000000"/>
    <numFmt numFmtId="216" formatCode="#,##0.000000000000"/>
    <numFmt numFmtId="217" formatCode="#,##0.0000000000000"/>
    <numFmt numFmtId="218" formatCode="#,##0.00000000000000"/>
    <numFmt numFmtId="219" formatCode="#,##0.000000000000000"/>
    <numFmt numFmtId="220" formatCode="#,##0.0000000000000000"/>
    <numFmt numFmtId="221" formatCode="#,##0.00000000000000000"/>
    <numFmt numFmtId="222" formatCode="[$-F400]h:mm:ss\ AM/PM"/>
    <numFmt numFmtId="223" formatCode="mmm/yyyy"/>
    <numFmt numFmtId="224" formatCode="&quot;Sim&quot;;&quot;Sim&quot;;&quot;Não&quot;"/>
    <numFmt numFmtId="225" formatCode="&quot;Verdadeiro&quot;;&quot;Verdadeiro&quot;;&quot;Falso&quot;"/>
    <numFmt numFmtId="226" formatCode="&quot;Ativar&quot;;&quot;Ativar&quot;;&quot;Desativar&quot;"/>
    <numFmt numFmtId="227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8"/>
      <color indexed="4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Symbol"/>
      <family val="1"/>
    </font>
    <font>
      <b/>
      <sz val="11"/>
      <color indexed="10"/>
      <name val="Arial"/>
      <family val="2"/>
    </font>
    <font>
      <b/>
      <sz val="10"/>
      <name val="Symbol"/>
      <family val="1"/>
    </font>
    <font>
      <b/>
      <sz val="10"/>
      <color indexed="1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mbria"/>
      <family val="0"/>
    </font>
    <font>
      <sz val="20"/>
      <color indexed="8"/>
      <name val="Cambria"/>
      <family val="0"/>
    </font>
    <font>
      <b/>
      <sz val="20"/>
      <color indexed="9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7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9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2" fontId="3" fillId="0" borderId="0" xfId="65" applyNumberFormat="1" applyFont="1" applyBorder="1" applyAlignment="1">
      <alignment horizontal="center"/>
    </xf>
    <xf numFmtId="190" fontId="12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 horizontal="center"/>
      <protection/>
    </xf>
    <xf numFmtId="188" fontId="0" fillId="0" borderId="0" xfId="0" applyNumberFormat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/>
    </xf>
    <xf numFmtId="189" fontId="3" fillId="0" borderId="0" xfId="0" applyNumberFormat="1" applyFont="1" applyBorder="1" applyAlignment="1">
      <alignment horizontal="center"/>
    </xf>
    <xf numFmtId="2" fontId="5" fillId="0" borderId="0" xfId="65" applyNumberFormat="1" applyFont="1" applyBorder="1" applyAlignment="1" applyProtection="1">
      <alignment horizontal="center"/>
      <protection/>
    </xf>
    <xf numFmtId="189" fontId="6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/>
      <protection/>
    </xf>
    <xf numFmtId="185" fontId="4" fillId="0" borderId="0" xfId="0" applyNumberFormat="1" applyFont="1" applyBorder="1" applyAlignment="1" applyProtection="1">
      <alignment horizontal="center"/>
      <protection/>
    </xf>
    <xf numFmtId="188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3" fillId="0" borderId="12" xfId="65" applyNumberFormat="1" applyFont="1" applyBorder="1" applyAlignment="1">
      <alignment horizontal="center"/>
    </xf>
    <xf numFmtId="2" fontId="3" fillId="0" borderId="13" xfId="65" applyNumberFormat="1" applyFont="1" applyBorder="1" applyAlignment="1">
      <alignment horizontal="center"/>
    </xf>
    <xf numFmtId="0" fontId="8" fillId="0" borderId="0" xfId="0" applyFont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2" fontId="20" fillId="33" borderId="17" xfId="0" applyNumberFormat="1" applyFont="1" applyFill="1" applyBorder="1" applyAlignment="1" applyProtection="1">
      <alignment horizontal="center"/>
      <protection/>
    </xf>
    <xf numFmtId="2" fontId="20" fillId="33" borderId="18" xfId="0" applyNumberFormat="1" applyFont="1" applyFill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88" fontId="0" fillId="0" borderId="20" xfId="0" applyNumberFormat="1" applyFont="1" applyBorder="1" applyAlignment="1">
      <alignment horizontal="center"/>
    </xf>
    <xf numFmtId="0" fontId="3" fillId="32" borderId="0" xfId="0" applyFont="1" applyFill="1" applyBorder="1" applyAlignment="1" applyProtection="1">
      <alignment/>
      <protection/>
    </xf>
    <xf numFmtId="0" fontId="3" fillId="32" borderId="21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188" fontId="0" fillId="0" borderId="22" xfId="65" applyNumberFormat="1" applyFont="1" applyBorder="1" applyAlignment="1" applyProtection="1">
      <alignment horizontal="center"/>
      <protection/>
    </xf>
    <xf numFmtId="188" fontId="0" fillId="0" borderId="22" xfId="0" applyNumberFormat="1" applyFont="1" applyBorder="1" applyAlignment="1">
      <alignment horizontal="center"/>
    </xf>
    <xf numFmtId="190" fontId="0" fillId="0" borderId="22" xfId="0" applyNumberFormat="1" applyFont="1" applyBorder="1" applyAlignment="1" applyProtection="1">
      <alignment horizontal="center"/>
      <protection/>
    </xf>
    <xf numFmtId="2" fontId="0" fillId="0" borderId="22" xfId="0" applyNumberFormat="1" applyFont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2" fontId="0" fillId="0" borderId="25" xfId="0" applyNumberFormat="1" applyFont="1" applyBorder="1" applyAlignment="1">
      <alignment horizontal="center"/>
    </xf>
    <xf numFmtId="2" fontId="3" fillId="0" borderId="26" xfId="65" applyNumberFormat="1" applyFont="1" applyBorder="1" applyAlignment="1">
      <alignment horizontal="center"/>
    </xf>
    <xf numFmtId="0" fontId="5" fillId="32" borderId="0" xfId="0" applyFont="1" applyFill="1" applyBorder="1" applyAlignment="1" applyProtection="1">
      <alignment/>
      <protection/>
    </xf>
    <xf numFmtId="185" fontId="0" fillId="0" borderId="0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32" xfId="0" applyFont="1" applyBorder="1" applyAlignment="1" applyProtection="1">
      <alignment horizontal="right"/>
      <protection locked="0"/>
    </xf>
    <xf numFmtId="0" fontId="3" fillId="32" borderId="33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0" fillId="32" borderId="11" xfId="0" applyFont="1" applyFill="1" applyBorder="1" applyAlignment="1">
      <alignment/>
    </xf>
    <xf numFmtId="1" fontId="0" fillId="32" borderId="20" xfId="0" applyNumberFormat="1" applyFont="1" applyFill="1" applyBorder="1" applyAlignment="1">
      <alignment horizontal="center"/>
    </xf>
    <xf numFmtId="188" fontId="0" fillId="32" borderId="20" xfId="0" applyNumberFormat="1" applyFont="1" applyFill="1" applyBorder="1" applyAlignment="1">
      <alignment horizontal="center"/>
    </xf>
    <xf numFmtId="2" fontId="0" fillId="32" borderId="20" xfId="0" applyNumberFormat="1" applyFont="1" applyFill="1" applyBorder="1" applyAlignment="1">
      <alignment horizontal="center"/>
    </xf>
    <xf numFmtId="0" fontId="3" fillId="32" borderId="35" xfId="0" applyFont="1" applyFill="1" applyBorder="1" applyAlignment="1">
      <alignment/>
    </xf>
    <xf numFmtId="0" fontId="3" fillId="32" borderId="35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5" fillId="32" borderId="14" xfId="0" applyFont="1" applyFill="1" applyBorder="1" applyAlignment="1" applyProtection="1">
      <alignment/>
      <protection/>
    </xf>
    <xf numFmtId="0" fontId="0" fillId="32" borderId="14" xfId="0" applyFont="1" applyFill="1" applyBorder="1" applyAlignment="1" applyProtection="1">
      <alignment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32" borderId="0" xfId="0" applyFont="1" applyFill="1" applyBorder="1" applyAlignment="1" applyProtection="1">
      <alignment/>
      <protection/>
    </xf>
    <xf numFmtId="0" fontId="0" fillId="32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35" xfId="0" applyFont="1" applyBorder="1" applyAlignment="1">
      <alignment horizontal="center"/>
    </xf>
    <xf numFmtId="188" fontId="0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left"/>
    </xf>
    <xf numFmtId="2" fontId="3" fillId="0" borderId="28" xfId="65" applyNumberFormat="1" applyFont="1" applyBorder="1" applyAlignment="1">
      <alignment horizontal="center"/>
    </xf>
    <xf numFmtId="2" fontId="3" fillId="0" borderId="36" xfId="65" applyNumberFormat="1" applyFont="1" applyBorder="1" applyAlignment="1">
      <alignment horizontal="center"/>
    </xf>
    <xf numFmtId="0" fontId="3" fillId="0" borderId="11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21" fillId="33" borderId="37" xfId="0" applyFont="1" applyFill="1" applyBorder="1" applyAlignment="1">
      <alignment horizontal="center"/>
    </xf>
    <xf numFmtId="0" fontId="21" fillId="33" borderId="38" xfId="0" applyFont="1" applyFill="1" applyBorder="1" applyAlignment="1">
      <alignment horizontal="center"/>
    </xf>
    <xf numFmtId="2" fontId="0" fillId="0" borderId="22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5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4" fontId="18" fillId="0" borderId="30" xfId="0" applyNumberFormat="1" applyFont="1" applyBorder="1" applyAlignment="1" applyProtection="1" quotePrefix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4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0" fontId="0" fillId="0" borderId="41" xfId="0" applyFont="1" applyBorder="1" applyAlignment="1" applyProtection="1">
      <alignment horizontal="right"/>
      <protection locked="0"/>
    </xf>
    <xf numFmtId="0" fontId="0" fillId="0" borderId="42" xfId="0" applyFont="1" applyBorder="1" applyAlignment="1">
      <alignment/>
    </xf>
    <xf numFmtId="0" fontId="3" fillId="0" borderId="4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/>
    </xf>
    <xf numFmtId="0" fontId="3" fillId="0" borderId="4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0" fillId="0" borderId="41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0" fillId="0" borderId="48" xfId="0" applyFont="1" applyBorder="1" applyAlignment="1">
      <alignment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2" fontId="3" fillId="0" borderId="25" xfId="65" applyNumberFormat="1" applyFont="1" applyBorder="1" applyAlignment="1">
      <alignment horizontal="center"/>
    </xf>
    <xf numFmtId="189" fontId="0" fillId="0" borderId="51" xfId="65" applyNumberFormat="1" applyFont="1" applyBorder="1" applyAlignment="1" applyProtection="1">
      <alignment horizontal="center"/>
      <protection/>
    </xf>
    <xf numFmtId="188" fontId="3" fillId="0" borderId="2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7" fillId="0" borderId="29" xfId="0" applyFont="1" applyBorder="1" applyAlignment="1" applyProtection="1">
      <alignment horizontal="center"/>
      <protection/>
    </xf>
    <xf numFmtId="185" fontId="20" fillId="33" borderId="52" xfId="0" applyNumberFormat="1" applyFont="1" applyFill="1" applyBorder="1" applyAlignment="1" applyProtection="1">
      <alignment horizontal="center"/>
      <protection/>
    </xf>
    <xf numFmtId="189" fontId="0" fillId="0" borderId="50" xfId="65" applyNumberFormat="1" applyFont="1" applyBorder="1" applyAlignment="1" applyProtection="1">
      <alignment horizontal="center"/>
      <protection/>
    </xf>
    <xf numFmtId="188" fontId="0" fillId="0" borderId="30" xfId="65" applyNumberFormat="1" applyFont="1" applyBorder="1" applyAlignment="1" applyProtection="1">
      <alignment horizontal="center"/>
      <protection/>
    </xf>
    <xf numFmtId="188" fontId="0" fillId="0" borderId="30" xfId="0" applyNumberFormat="1" applyFont="1" applyBorder="1" applyAlignment="1">
      <alignment horizontal="center"/>
    </xf>
    <xf numFmtId="190" fontId="0" fillId="0" borderId="30" xfId="0" applyNumberFormat="1" applyFont="1" applyBorder="1" applyAlignment="1" applyProtection="1">
      <alignment horizontal="center"/>
      <protection/>
    </xf>
    <xf numFmtId="2" fontId="0" fillId="0" borderId="47" xfId="0" applyNumberFormat="1" applyFont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32" borderId="14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 applyProtection="1" quotePrefix="1">
      <alignment horizontal="center"/>
      <protection/>
    </xf>
    <xf numFmtId="0" fontId="3" fillId="0" borderId="47" xfId="0" applyFont="1" applyBorder="1" applyAlignment="1">
      <alignment horizontal="center"/>
    </xf>
    <xf numFmtId="2" fontId="20" fillId="33" borderId="30" xfId="0" applyNumberFormat="1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 quotePrefix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2" fontId="20" fillId="33" borderId="29" xfId="0" applyNumberFormat="1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/>
    </xf>
    <xf numFmtId="2" fontId="3" fillId="0" borderId="4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0" fillId="0" borderId="5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/>
    </xf>
    <xf numFmtId="188" fontId="0" fillId="0" borderId="22" xfId="0" applyNumberFormat="1" applyFont="1" applyBorder="1" applyAlignment="1" applyProtection="1">
      <alignment horizontal="center"/>
      <protection/>
    </xf>
    <xf numFmtId="190" fontId="0" fillId="0" borderId="22" xfId="0" applyNumberFormat="1" applyFont="1" applyBorder="1" applyAlignment="1" applyProtection="1">
      <alignment horizontal="center"/>
      <protection locked="0"/>
    </xf>
    <xf numFmtId="188" fontId="0" fillId="0" borderId="52" xfId="0" applyNumberFormat="1" applyFont="1" applyBorder="1" applyAlignment="1" applyProtection="1">
      <alignment horizontal="center"/>
      <protection/>
    </xf>
    <xf numFmtId="2" fontId="0" fillId="0" borderId="26" xfId="0" applyNumberFormat="1" applyFont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21" fillId="32" borderId="0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7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1" fontId="0" fillId="32" borderId="36" xfId="0" applyNumberFormat="1" applyFont="1" applyFill="1" applyBorder="1" applyAlignment="1">
      <alignment horizontal="center"/>
    </xf>
    <xf numFmtId="188" fontId="0" fillId="32" borderId="37" xfId="0" applyNumberFormat="1" applyFont="1" applyFill="1" applyBorder="1" applyAlignment="1">
      <alignment horizontal="center"/>
    </xf>
    <xf numFmtId="188" fontId="0" fillId="32" borderId="38" xfId="0" applyNumberFormat="1" applyFont="1" applyFill="1" applyBorder="1" applyAlignment="1">
      <alignment horizontal="center"/>
    </xf>
    <xf numFmtId="188" fontId="0" fillId="32" borderId="36" xfId="0" applyNumberFormat="1" applyFont="1" applyFill="1" applyBorder="1" applyAlignment="1">
      <alignment horizontal="center"/>
    </xf>
    <xf numFmtId="2" fontId="0" fillId="32" borderId="37" xfId="0" applyNumberFormat="1" applyFont="1" applyFill="1" applyBorder="1" applyAlignment="1">
      <alignment horizontal="center"/>
    </xf>
    <xf numFmtId="2" fontId="0" fillId="32" borderId="38" xfId="0" applyNumberFormat="1" applyFont="1" applyFill="1" applyBorder="1" applyAlignment="1">
      <alignment horizontal="center"/>
    </xf>
    <xf numFmtId="2" fontId="0" fillId="32" borderId="57" xfId="0" applyNumberFormat="1" applyFont="1" applyFill="1" applyBorder="1" applyAlignment="1">
      <alignment horizontal="center"/>
    </xf>
    <xf numFmtId="2" fontId="0" fillId="32" borderId="58" xfId="0" applyNumberFormat="1" applyFont="1" applyFill="1" applyBorder="1" applyAlignment="1">
      <alignment horizontal="center"/>
    </xf>
    <xf numFmtId="2" fontId="0" fillId="32" borderId="36" xfId="0" applyNumberFormat="1" applyFont="1" applyFill="1" applyBorder="1" applyAlignment="1">
      <alignment horizontal="center"/>
    </xf>
    <xf numFmtId="185" fontId="0" fillId="32" borderId="26" xfId="0" applyNumberFormat="1" applyFont="1" applyFill="1" applyBorder="1" applyAlignment="1" applyProtection="1">
      <alignment horizontal="center"/>
      <protection/>
    </xf>
    <xf numFmtId="0" fontId="3" fillId="32" borderId="59" xfId="0" applyFont="1" applyFill="1" applyBorder="1" applyAlignment="1">
      <alignment horizontal="right"/>
    </xf>
    <xf numFmtId="185" fontId="3" fillId="32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16" fillId="33" borderId="0" xfId="0" applyFont="1" applyFill="1" applyBorder="1" applyAlignment="1" applyProtection="1">
      <alignment horizontal="left"/>
      <protection/>
    </xf>
    <xf numFmtId="0" fontId="22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40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0" fontId="20" fillId="33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704850</xdr:colOff>
      <xdr:row>8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64674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5720" rIns="7200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Curso Prático de Calibração 
de Sensores Meteorológicos
</a:t>
          </a:r>
          <a:r>
            <a:rPr lang="en-US" cap="none" sz="2000" b="0" i="0" u="none" baseline="0">
              <a:solidFill>
                <a:srgbClr val="000000"/>
              </a:solidFill>
            </a:rPr>
            <a:t>INPE/CPTEC/LIM</a:t>
          </a:r>
          <a:r>
            <a:rPr lang="en-US" cap="none" sz="20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F44"/>
  <sheetViews>
    <sheetView tabSelected="1" zoomScale="120" zoomScaleNormal="120" zoomScaleSheetLayoutView="100" zoomScalePageLayoutView="0" workbookViewId="0" topLeftCell="A1">
      <selection activeCell="H46" sqref="H46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5.57421875" style="0" bestFit="1" customWidth="1"/>
    <col min="4" max="4" width="13.7109375" style="0" customWidth="1"/>
    <col min="5" max="7" width="13.140625" style="0" bestFit="1" customWidth="1"/>
    <col min="8" max="8" width="14.28125" style="0" bestFit="1" customWidth="1"/>
    <col min="9" max="9" width="17.8515625" style="0" bestFit="1" customWidth="1"/>
    <col min="10" max="10" width="17.00390625" style="0" customWidth="1"/>
    <col min="11" max="11" width="16.7109375" style="0" bestFit="1" customWidth="1"/>
    <col min="12" max="12" width="8.57421875" style="0" bestFit="1" customWidth="1"/>
    <col min="13" max="13" width="17.7109375" style="0" bestFit="1" customWidth="1"/>
    <col min="14" max="18" width="17.7109375" style="0" customWidth="1"/>
    <col min="19" max="19" width="11.7109375" style="0" customWidth="1"/>
    <col min="20" max="20" width="17.421875" style="0" bestFit="1" customWidth="1"/>
    <col min="21" max="21" width="17.7109375" style="0" bestFit="1" customWidth="1"/>
    <col min="22" max="22" width="15.28125" style="0" customWidth="1"/>
    <col min="23" max="23" width="15.140625" style="0" customWidth="1"/>
    <col min="24" max="24" width="15.00390625" style="0" customWidth="1"/>
    <col min="25" max="25" width="13.57421875" style="0" customWidth="1"/>
    <col min="26" max="26" width="14.7109375" style="0" customWidth="1"/>
    <col min="27" max="27" width="14.57421875" style="0" customWidth="1"/>
    <col min="28" max="28" width="16.57421875" style="0" customWidth="1"/>
    <col min="29" max="29" width="22.57421875" style="0" bestFit="1" customWidth="1"/>
    <col min="30" max="30" width="16.7109375" style="0" bestFit="1" customWidth="1"/>
    <col min="31" max="31" width="8.57421875" style="0" bestFit="1" customWidth="1"/>
    <col min="32" max="32" width="17.7109375" style="0" bestFit="1" customWidth="1"/>
    <col min="33" max="33" width="13.8515625" style="0" customWidth="1"/>
    <col min="34" max="34" width="8.140625" style="0" bestFit="1" customWidth="1"/>
    <col min="35" max="35" width="25.00390625" style="0" bestFit="1" customWidth="1"/>
    <col min="36" max="36" width="18.8515625" style="121" bestFit="1" customWidth="1"/>
    <col min="37" max="37" width="17.7109375" style="121" bestFit="1" customWidth="1"/>
    <col min="38" max="38" width="77.140625" style="0" bestFit="1" customWidth="1"/>
    <col min="39" max="39" width="12.8515625" style="0" bestFit="1" customWidth="1"/>
    <col min="40" max="40" width="8.57421875" style="0" bestFit="1" customWidth="1"/>
    <col min="41" max="41" width="19.28125" style="0" bestFit="1" customWidth="1"/>
    <col min="42" max="42" width="8.57421875" style="0" customWidth="1"/>
    <col min="43" max="43" width="20.00390625" style="0" bestFit="1" customWidth="1"/>
    <col min="44" max="44" width="15.7109375" style="0" bestFit="1" customWidth="1"/>
    <col min="45" max="45" width="2.7109375" style="0" customWidth="1"/>
    <col min="46" max="46" width="28.7109375" style="0" bestFit="1" customWidth="1"/>
    <col min="47" max="47" width="13.57421875" style="0" bestFit="1" customWidth="1"/>
    <col min="48" max="49" width="11.57421875" style="0" bestFit="1" customWidth="1"/>
    <col min="50" max="50" width="11.57421875" style="0" customWidth="1"/>
    <col min="51" max="51" width="13.8515625" style="0" bestFit="1" customWidth="1"/>
    <col min="52" max="52" width="12.57421875" style="0" bestFit="1" customWidth="1"/>
    <col min="53" max="53" width="13.7109375" style="0" customWidth="1"/>
    <col min="54" max="54" width="12.57421875" style="0" customWidth="1"/>
  </cols>
  <sheetData>
    <row r="10" spans="1:3" ht="15">
      <c r="A10" s="48" t="s">
        <v>57</v>
      </c>
      <c r="B10" s="12"/>
      <c r="C10" s="12"/>
    </row>
    <row r="11" spans="1:3" ht="15">
      <c r="A11" s="12" t="s">
        <v>39</v>
      </c>
      <c r="B11" s="12"/>
      <c r="C11" s="12"/>
    </row>
    <row r="12" spans="1:3" ht="15">
      <c r="A12" s="12"/>
      <c r="B12" s="12"/>
      <c r="C12" s="12"/>
    </row>
    <row r="13" spans="1:10" ht="15">
      <c r="A13" s="221" t="s">
        <v>59</v>
      </c>
      <c r="B13" s="221"/>
      <c r="C13" s="221"/>
      <c r="D13" s="222"/>
      <c r="E13" s="222"/>
      <c r="F13" s="222"/>
      <c r="G13" s="222"/>
      <c r="H13" s="222"/>
      <c r="I13" s="222"/>
      <c r="J13" s="222"/>
    </row>
    <row r="14" spans="1:10" ht="15">
      <c r="A14" s="221" t="s">
        <v>53</v>
      </c>
      <c r="B14" s="221"/>
      <c r="C14" s="222"/>
      <c r="D14" s="222"/>
      <c r="E14" s="223">
        <v>0.254</v>
      </c>
      <c r="F14" s="222"/>
      <c r="G14" s="222"/>
      <c r="H14" s="222"/>
      <c r="I14" s="222"/>
      <c r="J14" s="222"/>
    </row>
    <row r="15" spans="1:10" ht="15">
      <c r="A15" s="221" t="s">
        <v>58</v>
      </c>
      <c r="B15" s="221"/>
      <c r="C15" s="221"/>
      <c r="D15" s="222"/>
      <c r="E15" s="222"/>
      <c r="F15" s="222"/>
      <c r="G15" s="222"/>
      <c r="H15" s="222"/>
      <c r="I15" s="222"/>
      <c r="J15" s="222"/>
    </row>
    <row r="16" spans="1:10" ht="15">
      <c r="A16" s="221" t="s">
        <v>60</v>
      </c>
      <c r="B16" s="221"/>
      <c r="C16" s="221"/>
      <c r="D16" s="222"/>
      <c r="E16" s="222"/>
      <c r="F16" s="222"/>
      <c r="G16" s="222"/>
      <c r="H16" s="222"/>
      <c r="I16" s="222"/>
      <c r="J16" s="222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5" ht="12.75">
      <c r="A19" s="224" t="s">
        <v>88</v>
      </c>
      <c r="B19" s="225"/>
      <c r="C19" s="225"/>
      <c r="D19" s="225"/>
      <c r="E19" s="225"/>
    </row>
    <row r="20" spans="1:8" ht="12.75">
      <c r="A20" s="49"/>
      <c r="B20" s="39"/>
      <c r="C20" s="39"/>
      <c r="D20" s="39"/>
      <c r="E20" s="39"/>
      <c r="F20" s="39"/>
      <c r="G20" s="39"/>
      <c r="H20" s="39"/>
    </row>
    <row r="21" spans="1:8" ht="12.75">
      <c r="A21" s="49"/>
      <c r="B21" s="39"/>
      <c r="C21" s="39"/>
      <c r="D21" s="40"/>
      <c r="E21" s="39"/>
      <c r="F21" s="39"/>
      <c r="G21" s="39"/>
      <c r="H21" s="39"/>
    </row>
    <row r="22" spans="1:8" ht="12.75">
      <c r="A22" s="49"/>
      <c r="B22" s="39"/>
      <c r="C22" s="39"/>
      <c r="D22" s="40"/>
      <c r="E22" s="226"/>
      <c r="F22" s="227"/>
      <c r="G22" s="227"/>
      <c r="H22" s="39"/>
    </row>
    <row r="23" spans="1:8" ht="12.75">
      <c r="A23" s="49"/>
      <c r="B23" s="39"/>
      <c r="C23" s="39"/>
      <c r="D23" s="60" t="s">
        <v>70</v>
      </c>
      <c r="E23" s="39"/>
      <c r="F23" s="39"/>
      <c r="G23" s="39"/>
      <c r="H23" s="39"/>
    </row>
    <row r="24" spans="2:8" ht="13.5" thickBot="1">
      <c r="B24" s="39"/>
      <c r="C24" s="39"/>
      <c r="D24" s="39"/>
      <c r="E24" s="39"/>
      <c r="F24" s="39"/>
      <c r="G24" s="39"/>
      <c r="H24" s="39"/>
    </row>
    <row r="25" spans="1:15" ht="13.5" thickBot="1">
      <c r="A25" s="39" t="s">
        <v>33</v>
      </c>
      <c r="B25" s="39"/>
      <c r="C25" s="39"/>
      <c r="D25" s="89" t="s">
        <v>34</v>
      </c>
      <c r="E25" s="90" t="s">
        <v>41</v>
      </c>
      <c r="F25" s="91"/>
      <c r="G25" s="91"/>
      <c r="H25" s="91"/>
      <c r="I25" s="91"/>
      <c r="J25" s="91"/>
      <c r="K25" s="91"/>
      <c r="L25" s="91"/>
      <c r="M25" s="91"/>
      <c r="N25" s="92"/>
      <c r="O25" s="93"/>
    </row>
    <row r="26" spans="2:15" ht="12.75">
      <c r="B26" s="49"/>
      <c r="C26" s="39"/>
      <c r="D26" s="84" t="s">
        <v>27</v>
      </c>
      <c r="E26" s="85" t="s">
        <v>28</v>
      </c>
      <c r="F26" s="85" t="s">
        <v>29</v>
      </c>
      <c r="G26" s="85" t="s">
        <v>30</v>
      </c>
      <c r="H26" s="85" t="s">
        <v>31</v>
      </c>
      <c r="I26" s="85" t="s">
        <v>90</v>
      </c>
      <c r="J26" s="85" t="s">
        <v>91</v>
      </c>
      <c r="K26" s="85" t="s">
        <v>92</v>
      </c>
      <c r="L26" s="85" t="s">
        <v>93</v>
      </c>
      <c r="M26" s="85" t="s">
        <v>94</v>
      </c>
      <c r="N26" s="86" t="s">
        <v>73</v>
      </c>
      <c r="O26" s="87" t="s">
        <v>49</v>
      </c>
    </row>
    <row r="27" spans="4:15" ht="13.5" thickBot="1">
      <c r="D27" s="56">
        <v>199.95</v>
      </c>
      <c r="E27" s="57">
        <v>199.97</v>
      </c>
      <c r="F27" s="57">
        <v>199.93</v>
      </c>
      <c r="G27" s="57">
        <v>200.93</v>
      </c>
      <c r="H27" s="57">
        <v>201.93</v>
      </c>
      <c r="I27" s="57">
        <v>202.93</v>
      </c>
      <c r="J27" s="57">
        <v>203.93</v>
      </c>
      <c r="K27" s="57">
        <v>204.93</v>
      </c>
      <c r="L27" s="57">
        <v>205.93</v>
      </c>
      <c r="M27" s="57">
        <v>206.93</v>
      </c>
      <c r="N27" s="58">
        <f>AVERAGE(D27:F27)</f>
        <v>199.94999999999996</v>
      </c>
      <c r="O27" s="59">
        <f>STDEV(D27:F27)</f>
        <v>0.01999999999999602</v>
      </c>
    </row>
    <row r="28" spans="1:6" ht="12.75">
      <c r="A28" s="233"/>
      <c r="B28" s="233"/>
      <c r="C28" s="50"/>
      <c r="D28" s="16"/>
      <c r="E28" s="27"/>
      <c r="F28" s="17"/>
    </row>
    <row r="29" spans="1:6" ht="12.75">
      <c r="A29" s="233"/>
      <c r="B29" s="233"/>
      <c r="C29" s="50"/>
      <c r="D29" s="15" t="s">
        <v>0</v>
      </c>
      <c r="E29" s="38" t="s">
        <v>61</v>
      </c>
      <c r="F29" s="18"/>
    </row>
    <row r="30" spans="1:54" ht="12.75">
      <c r="A30" s="233"/>
      <c r="B30" s="233"/>
      <c r="C30" s="50"/>
      <c r="F30" s="226"/>
      <c r="G30" s="227"/>
      <c r="H30" s="227"/>
      <c r="AL30" s="11"/>
      <c r="AQ30" s="203"/>
      <c r="AU30" s="11"/>
      <c r="AV30" s="11"/>
      <c r="BA30" s="1"/>
      <c r="BB30" s="1"/>
    </row>
    <row r="31" spans="1:58" ht="13.5" thickBot="1">
      <c r="A31" s="10" t="s">
        <v>87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3"/>
      <c r="T31" s="64"/>
      <c r="U31" s="1"/>
      <c r="V31" s="1"/>
      <c r="W31" s="65"/>
      <c r="X31" s="1"/>
      <c r="Y31" s="1"/>
      <c r="Z31" s="1"/>
      <c r="AA31" s="1"/>
      <c r="AB31" s="1"/>
      <c r="AC31" s="1"/>
      <c r="AD31" s="1"/>
      <c r="AE31" s="1"/>
      <c r="AF31" s="1"/>
      <c r="AH31" s="1"/>
      <c r="AI31" s="1"/>
      <c r="AJ31" s="6"/>
      <c r="AK31" s="6"/>
      <c r="AM31" s="1"/>
      <c r="AN31" s="1"/>
      <c r="AO31" s="1"/>
      <c r="AP31" s="1"/>
      <c r="AQ31" s="1"/>
      <c r="AR31" s="1"/>
      <c r="AS31" s="1"/>
      <c r="AT31" s="63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4" ht="12.75">
      <c r="A32" s="238" t="s">
        <v>35</v>
      </c>
      <c r="B32" s="239"/>
      <c r="C32" s="140" t="s">
        <v>54</v>
      </c>
      <c r="D32" s="68" t="s">
        <v>69</v>
      </c>
      <c r="E32" s="103"/>
      <c r="F32" s="103"/>
      <c r="G32" s="103"/>
      <c r="H32" s="103"/>
      <c r="I32" s="104"/>
      <c r="J32" s="55"/>
      <c r="K32" s="55"/>
      <c r="L32" s="55"/>
      <c r="M32" s="55"/>
      <c r="N32" s="68" t="s">
        <v>81</v>
      </c>
      <c r="O32" s="103"/>
      <c r="P32" s="103"/>
      <c r="Q32" s="103"/>
      <c r="R32" s="171"/>
      <c r="S32" s="68" t="s">
        <v>68</v>
      </c>
      <c r="T32" s="55"/>
      <c r="U32" s="77"/>
      <c r="V32" s="174" t="s">
        <v>72</v>
      </c>
      <c r="W32" s="105"/>
      <c r="X32" s="103"/>
      <c r="Y32" s="103"/>
      <c r="Z32" s="103"/>
      <c r="AA32" s="103"/>
      <c r="AB32" s="103"/>
      <c r="AC32" s="103"/>
      <c r="AD32" s="103"/>
      <c r="AE32" s="103"/>
      <c r="AF32" s="103"/>
      <c r="AG32" s="127" t="s">
        <v>74</v>
      </c>
      <c r="AH32" s="124"/>
      <c r="AI32" s="124"/>
      <c r="AJ32" s="99" t="s">
        <v>43</v>
      </c>
      <c r="AK32" s="122" t="s">
        <v>75</v>
      </c>
      <c r="AL32" s="68" t="s">
        <v>77</v>
      </c>
      <c r="AM32" s="103"/>
      <c r="AN32" s="103"/>
      <c r="AO32" s="102"/>
      <c r="AP32" s="102"/>
      <c r="AQ32" s="77"/>
      <c r="AR32" s="61"/>
      <c r="AS32" s="61"/>
      <c r="AT32" s="68" t="s">
        <v>86</v>
      </c>
      <c r="AU32" s="51"/>
      <c r="AV32" s="51"/>
      <c r="AW32" s="51"/>
      <c r="AX32" s="51"/>
      <c r="AY32" s="51"/>
      <c r="AZ32" s="52"/>
      <c r="BA32" s="1"/>
      <c r="BB32" s="1"/>
    </row>
    <row r="33" spans="1:54" ht="13.5" thickBot="1">
      <c r="A33" s="234" t="s">
        <v>36</v>
      </c>
      <c r="B33" s="235"/>
      <c r="C33" s="50" t="s">
        <v>62</v>
      </c>
      <c r="D33" s="240" t="s">
        <v>80</v>
      </c>
      <c r="E33" s="241"/>
      <c r="F33" s="202" t="s">
        <v>79</v>
      </c>
      <c r="G33" s="67"/>
      <c r="H33" s="67"/>
      <c r="I33" s="106"/>
      <c r="J33" s="62"/>
      <c r="K33" s="62"/>
      <c r="L33" s="62"/>
      <c r="M33" s="62"/>
      <c r="N33" s="240"/>
      <c r="O33" s="241"/>
      <c r="P33" s="204"/>
      <c r="Q33" s="67"/>
      <c r="R33" s="172"/>
      <c r="S33" s="94"/>
      <c r="T33" s="62"/>
      <c r="U33" s="74"/>
      <c r="V33" s="13"/>
      <c r="W33" s="67"/>
      <c r="X33" s="108"/>
      <c r="Y33" s="67"/>
      <c r="Z33" s="67"/>
      <c r="AA33" s="67"/>
      <c r="AB33" s="67"/>
      <c r="AC33" s="67"/>
      <c r="AD33" s="67"/>
      <c r="AE33" s="67"/>
      <c r="AF33" s="67"/>
      <c r="AG33" s="42"/>
      <c r="AH33" s="88"/>
      <c r="AI33" s="88"/>
      <c r="AJ33" s="101" t="s">
        <v>44</v>
      </c>
      <c r="AK33" s="125"/>
      <c r="AL33" s="109"/>
      <c r="AM33" s="108"/>
      <c r="AN33" s="108"/>
      <c r="AO33" s="80"/>
      <c r="AP33" s="80"/>
      <c r="AQ33" s="74"/>
      <c r="AR33" s="61"/>
      <c r="AT33" s="218" t="s">
        <v>84</v>
      </c>
      <c r="AU33" s="219">
        <f>MIN(R39:R43)</f>
        <v>34.003442906584525</v>
      </c>
      <c r="AV33" s="220" t="s">
        <v>62</v>
      </c>
      <c r="AW33" s="219">
        <f>MAX(R39:R43)</f>
        <v>755.4671896138439</v>
      </c>
      <c r="AX33" s="75" t="s">
        <v>85</v>
      </c>
      <c r="AY33" s="53"/>
      <c r="AZ33" s="76"/>
      <c r="BA33" s="13"/>
      <c r="BB33" s="1"/>
    </row>
    <row r="34" spans="1:54" ht="12.75">
      <c r="A34" s="234" t="s">
        <v>37</v>
      </c>
      <c r="B34" s="235"/>
      <c r="C34" s="50" t="s">
        <v>63</v>
      </c>
      <c r="D34" s="110"/>
      <c r="E34" s="111"/>
      <c r="F34" s="112"/>
      <c r="G34" s="112"/>
      <c r="H34" s="112"/>
      <c r="I34" s="113"/>
      <c r="J34" s="114"/>
      <c r="K34" s="112"/>
      <c r="L34" s="114"/>
      <c r="M34" s="114"/>
      <c r="N34" s="110"/>
      <c r="O34" s="111"/>
      <c r="P34" s="112"/>
      <c r="Q34" s="112"/>
      <c r="R34" s="173"/>
      <c r="S34" s="115"/>
      <c r="T34" s="114"/>
      <c r="U34" s="145"/>
      <c r="V34" s="114"/>
      <c r="W34" s="112"/>
      <c r="X34" s="111"/>
      <c r="Y34" s="113"/>
      <c r="Z34" s="113"/>
      <c r="AA34" s="112"/>
      <c r="AB34" s="112"/>
      <c r="AC34" s="112"/>
      <c r="AD34" s="112"/>
      <c r="AE34" s="112"/>
      <c r="AF34" s="112"/>
      <c r="AG34" s="123"/>
      <c r="AH34" s="50"/>
      <c r="AI34" s="116"/>
      <c r="AJ34" s="192"/>
      <c r="AK34" s="126"/>
      <c r="AL34" s="107"/>
      <c r="AM34" s="13"/>
      <c r="AN34" s="13"/>
      <c r="AO34" s="13"/>
      <c r="AP34" s="13"/>
      <c r="AQ34" s="117"/>
      <c r="AR34" s="1"/>
      <c r="AT34" s="98"/>
      <c r="AU34" s="98"/>
      <c r="AV34" s="98"/>
      <c r="AW34" s="98"/>
      <c r="AX34" s="98"/>
      <c r="AY34" s="99" t="s">
        <v>20</v>
      </c>
      <c r="AZ34" s="98"/>
      <c r="BA34" s="21"/>
      <c r="BB34" s="1"/>
    </row>
    <row r="35" spans="1:54" ht="12.75">
      <c r="A35" s="234" t="s">
        <v>38</v>
      </c>
      <c r="B35" s="235"/>
      <c r="C35" s="50" t="s">
        <v>64</v>
      </c>
      <c r="D35" s="118" t="s">
        <v>34</v>
      </c>
      <c r="E35" s="54" t="s">
        <v>40</v>
      </c>
      <c r="F35" s="13"/>
      <c r="G35" s="13"/>
      <c r="H35" s="13"/>
      <c r="I35" s="13"/>
      <c r="J35" s="13"/>
      <c r="K35" s="143"/>
      <c r="L35" s="13"/>
      <c r="M35" s="13"/>
      <c r="N35" s="118" t="s">
        <v>34</v>
      </c>
      <c r="O35" s="88" t="s">
        <v>82</v>
      </c>
      <c r="P35" s="13"/>
      <c r="Q35" s="13"/>
      <c r="R35" s="117"/>
      <c r="S35" s="178"/>
      <c r="T35" s="177"/>
      <c r="U35" s="179"/>
      <c r="V35" s="13"/>
      <c r="W35" s="13"/>
      <c r="X35" s="13"/>
      <c r="Y35" s="13"/>
      <c r="Z35" s="13"/>
      <c r="AA35" s="13"/>
      <c r="AB35" s="13"/>
      <c r="AC35" s="13"/>
      <c r="AD35" s="143"/>
      <c r="AE35" s="143"/>
      <c r="AF35" s="13"/>
      <c r="AG35" s="130"/>
      <c r="AH35" s="131"/>
      <c r="AI35" s="50"/>
      <c r="AJ35" s="14"/>
      <c r="AK35" s="42"/>
      <c r="AL35" s="107"/>
      <c r="AM35" s="13"/>
      <c r="AN35" s="13"/>
      <c r="AO35" s="13"/>
      <c r="AP35" s="13"/>
      <c r="AQ35" s="117"/>
      <c r="AR35" s="1"/>
      <c r="AT35" s="100"/>
      <c r="AU35" s="101"/>
      <c r="AV35" s="101" t="s">
        <v>47</v>
      </c>
      <c r="AW35" s="101" t="s">
        <v>47</v>
      </c>
      <c r="AX35" s="101" t="s">
        <v>46</v>
      </c>
      <c r="AY35" s="101" t="s">
        <v>21</v>
      </c>
      <c r="AZ35" s="101" t="s">
        <v>24</v>
      </c>
      <c r="BA35" s="21"/>
      <c r="BB35" s="1"/>
    </row>
    <row r="36" spans="1:54" s="44" customFormat="1" ht="13.5" thickBot="1">
      <c r="A36" s="236" t="s">
        <v>36</v>
      </c>
      <c r="B36" s="237"/>
      <c r="C36" s="50" t="s">
        <v>65</v>
      </c>
      <c r="D36" s="146"/>
      <c r="E36" s="138"/>
      <c r="F36" s="139"/>
      <c r="G36" s="139"/>
      <c r="H36" s="139"/>
      <c r="I36" s="228"/>
      <c r="J36" s="141" t="s">
        <v>49</v>
      </c>
      <c r="K36" s="144"/>
      <c r="L36" s="139"/>
      <c r="M36" s="152"/>
      <c r="N36" s="146"/>
      <c r="O36" s="138"/>
      <c r="P36" s="139"/>
      <c r="Q36" s="139"/>
      <c r="R36" s="147"/>
      <c r="S36" s="175"/>
      <c r="T36" s="176" t="s">
        <v>50</v>
      </c>
      <c r="U36" s="180"/>
      <c r="V36" s="157"/>
      <c r="W36" s="139"/>
      <c r="X36" s="139"/>
      <c r="Y36" s="139"/>
      <c r="Z36" s="139"/>
      <c r="AA36" s="139"/>
      <c r="AB36" s="139"/>
      <c r="AC36" s="141" t="s">
        <v>49</v>
      </c>
      <c r="AD36" s="144"/>
      <c r="AE36" s="144"/>
      <c r="AF36" s="152"/>
      <c r="AG36" s="185"/>
      <c r="AH36" s="182"/>
      <c r="AI36" s="189" t="s">
        <v>26</v>
      </c>
      <c r="AJ36" s="193"/>
      <c r="AK36" s="195"/>
      <c r="AL36" s="155"/>
      <c r="AM36" s="139"/>
      <c r="AN36" s="196"/>
      <c r="AO36" s="139"/>
      <c r="AP36" s="139"/>
      <c r="AQ36" s="186" t="s">
        <v>16</v>
      </c>
      <c r="AR36" s="3"/>
      <c r="AT36" s="101" t="s">
        <v>1</v>
      </c>
      <c r="AU36" s="101" t="s">
        <v>42</v>
      </c>
      <c r="AV36" s="101" t="s">
        <v>48</v>
      </c>
      <c r="AW36" s="101" t="s">
        <v>45</v>
      </c>
      <c r="AX36" s="101" t="s">
        <v>11</v>
      </c>
      <c r="AY36" s="101" t="s">
        <v>22</v>
      </c>
      <c r="AZ36" s="101" t="s">
        <v>25</v>
      </c>
      <c r="BA36" s="45"/>
      <c r="BB36" s="43"/>
    </row>
    <row r="37" spans="1:54" ht="12.75">
      <c r="A37" s="119"/>
      <c r="B37" s="119"/>
      <c r="C37" s="50" t="s">
        <v>66</v>
      </c>
      <c r="D37" s="148" t="s">
        <v>5</v>
      </c>
      <c r="E37" s="136" t="s">
        <v>6</v>
      </c>
      <c r="F37" s="136" t="s">
        <v>7</v>
      </c>
      <c r="G37" s="136" t="s">
        <v>8</v>
      </c>
      <c r="H37" s="136" t="s">
        <v>9</v>
      </c>
      <c r="I37" s="229" t="s">
        <v>2</v>
      </c>
      <c r="J37" s="136" t="s">
        <v>89</v>
      </c>
      <c r="K37" s="136" t="s">
        <v>3</v>
      </c>
      <c r="L37" s="136" t="s">
        <v>4</v>
      </c>
      <c r="M37" s="153" t="s">
        <v>18</v>
      </c>
      <c r="N37" s="148" t="s">
        <v>5</v>
      </c>
      <c r="O37" s="136" t="s">
        <v>6</v>
      </c>
      <c r="P37" s="136" t="s">
        <v>7</v>
      </c>
      <c r="Q37" s="136" t="s">
        <v>8</v>
      </c>
      <c r="R37" s="149" t="s">
        <v>83</v>
      </c>
      <c r="S37" s="163" t="s">
        <v>10</v>
      </c>
      <c r="T37" s="158"/>
      <c r="U37" s="149" t="s">
        <v>18</v>
      </c>
      <c r="V37" s="176" t="s">
        <v>4</v>
      </c>
      <c r="W37" s="136" t="s">
        <v>27</v>
      </c>
      <c r="X37" s="136" t="s">
        <v>28</v>
      </c>
      <c r="Y37" s="136" t="s">
        <v>29</v>
      </c>
      <c r="Z37" s="136" t="s">
        <v>30</v>
      </c>
      <c r="AA37" s="136" t="s">
        <v>31</v>
      </c>
      <c r="AB37" s="136" t="s">
        <v>32</v>
      </c>
      <c r="AC37" s="136" t="s">
        <v>89</v>
      </c>
      <c r="AD37" s="136" t="s">
        <v>3</v>
      </c>
      <c r="AE37" s="136" t="s">
        <v>4</v>
      </c>
      <c r="AF37" s="153" t="s">
        <v>18</v>
      </c>
      <c r="AG37" s="42" t="s">
        <v>55</v>
      </c>
      <c r="AH37" s="181" t="s">
        <v>12</v>
      </c>
      <c r="AI37" s="181"/>
      <c r="AJ37" s="4" t="s">
        <v>18</v>
      </c>
      <c r="AK37" s="69" t="s">
        <v>18</v>
      </c>
      <c r="AL37" s="148" t="s">
        <v>13</v>
      </c>
      <c r="AM37" s="136" t="s">
        <v>14</v>
      </c>
      <c r="AN37" s="136" t="s">
        <v>4</v>
      </c>
      <c r="AO37" s="136" t="s">
        <v>15</v>
      </c>
      <c r="AP37" s="136" t="s">
        <v>12</v>
      </c>
      <c r="AQ37" s="149" t="s">
        <v>51</v>
      </c>
      <c r="AR37" s="3"/>
      <c r="AT37" s="100"/>
      <c r="AU37" s="101"/>
      <c r="AV37" s="101" t="s">
        <v>41</v>
      </c>
      <c r="AW37" s="101" t="s">
        <v>41</v>
      </c>
      <c r="AX37" s="101"/>
      <c r="AY37" s="101" t="s">
        <v>23</v>
      </c>
      <c r="AZ37" s="101" t="s">
        <v>12</v>
      </c>
      <c r="BA37" s="21"/>
      <c r="BB37" s="1"/>
    </row>
    <row r="38" spans="1:54" ht="13.5" thickBot="1">
      <c r="A38" s="14" t="s">
        <v>56</v>
      </c>
      <c r="B38" s="14" t="s">
        <v>41</v>
      </c>
      <c r="C38" s="50" t="s">
        <v>67</v>
      </c>
      <c r="D38" s="150"/>
      <c r="E38" s="137"/>
      <c r="F38" s="137"/>
      <c r="G38" s="137"/>
      <c r="H38" s="137"/>
      <c r="I38" s="230"/>
      <c r="J38" s="142"/>
      <c r="K38" s="137"/>
      <c r="L38" s="137"/>
      <c r="M38" s="154" t="s">
        <v>11</v>
      </c>
      <c r="N38" s="150"/>
      <c r="O38" s="137"/>
      <c r="P38" s="137"/>
      <c r="Q38" s="137"/>
      <c r="R38" s="151"/>
      <c r="S38" s="164" t="s">
        <v>71</v>
      </c>
      <c r="T38" s="159" t="str">
        <f>S38</f>
        <v>[g]</v>
      </c>
      <c r="U38" s="151" t="s">
        <v>11</v>
      </c>
      <c r="V38" s="159"/>
      <c r="W38" s="137"/>
      <c r="X38" s="137"/>
      <c r="Y38" s="137"/>
      <c r="Z38" s="137"/>
      <c r="AA38" s="137"/>
      <c r="AB38" s="137"/>
      <c r="AC38" s="142"/>
      <c r="AD38" s="137"/>
      <c r="AE38" s="137"/>
      <c r="AF38" s="154" t="s">
        <v>11</v>
      </c>
      <c r="AG38" s="187" t="s">
        <v>76</v>
      </c>
      <c r="AH38" s="183"/>
      <c r="AI38" s="154" t="s">
        <v>11</v>
      </c>
      <c r="AJ38" s="194" t="s">
        <v>11</v>
      </c>
      <c r="AK38" s="156" t="s">
        <v>11</v>
      </c>
      <c r="AL38" s="150"/>
      <c r="AM38" s="137" t="s">
        <v>78</v>
      </c>
      <c r="AN38" s="197"/>
      <c r="AO38" s="137" t="s">
        <v>17</v>
      </c>
      <c r="AP38" s="137"/>
      <c r="AQ38" s="87" t="s">
        <v>52</v>
      </c>
      <c r="AR38" s="50"/>
      <c r="AS38" s="2"/>
      <c r="AT38" s="101" t="s">
        <v>19</v>
      </c>
      <c r="AU38" s="101"/>
      <c r="AV38" s="101"/>
      <c r="AW38" s="101"/>
      <c r="AX38" s="101"/>
      <c r="AY38" s="101" t="s">
        <v>11</v>
      </c>
      <c r="AZ38" s="101" t="s">
        <v>19</v>
      </c>
      <c r="BA38" s="21"/>
      <c r="BB38" s="1"/>
    </row>
    <row r="39" spans="1:54" ht="12.75">
      <c r="A39" s="82">
        <v>1</v>
      </c>
      <c r="B39" s="66">
        <f>C39*$E$14</f>
        <v>0.254</v>
      </c>
      <c r="C39" s="132">
        <v>1</v>
      </c>
      <c r="D39" s="232">
        <v>7.9</v>
      </c>
      <c r="E39" s="232">
        <v>8.1</v>
      </c>
      <c r="F39" s="232">
        <v>7.4</v>
      </c>
      <c r="G39" s="232">
        <v>7.8</v>
      </c>
      <c r="H39" s="232">
        <v>6.5</v>
      </c>
      <c r="I39" s="231">
        <f>AVERAGE(D39:H39)</f>
        <v>7.540000000000001</v>
      </c>
      <c r="J39" s="73">
        <f>STDEV(D39:H39)</f>
        <v>0.6348228099241551</v>
      </c>
      <c r="K39" s="73">
        <f>J39/(5^0.5)</f>
        <v>0.2839013913315678</v>
      </c>
      <c r="L39" s="135" t="str">
        <f>$E$35</f>
        <v>g</v>
      </c>
      <c r="M39" s="160">
        <f>K39*100/(I39)</f>
        <v>3.765270442063233</v>
      </c>
      <c r="N39" s="232">
        <v>26.98</v>
      </c>
      <c r="O39" s="232">
        <v>23.9</v>
      </c>
      <c r="P39" s="232">
        <v>25.5</v>
      </c>
      <c r="Q39" s="232">
        <v>25.31</v>
      </c>
      <c r="R39" s="217">
        <f>((AB39)*3600)/(AVERAGE(N39:Q39))</f>
        <v>34.003442906584525</v>
      </c>
      <c r="S39" s="165">
        <v>0.1</v>
      </c>
      <c r="T39" s="162">
        <f>S39/3^0.5</f>
        <v>0.05773502691896258</v>
      </c>
      <c r="U39" s="79">
        <f>(T39*100)/I39</f>
        <v>0.7657165373867716</v>
      </c>
      <c r="V39" s="166" t="s">
        <v>41</v>
      </c>
      <c r="W39" s="167">
        <f>(D39*1000)/(PI()*($N$27/2)^2)</f>
        <v>0.2515905896556107</v>
      </c>
      <c r="X39" s="167">
        <f>(E39*1000)/(PI()*($N$27/2)^2)</f>
        <v>0.25795997167220847</v>
      </c>
      <c r="Y39" s="167">
        <f>(F39*1000)/(PI()*($N$27/2)^2)</f>
        <v>0.23566713461411637</v>
      </c>
      <c r="Z39" s="167">
        <f>(G39*1000)/(PI()*($N$27/2)^2)</f>
        <v>0.24840589864731183</v>
      </c>
      <c r="AA39" s="167">
        <f>(H39*1000)/(PI()*($N$27/2)^2)</f>
        <v>0.20700491553942654</v>
      </c>
      <c r="AB39" s="168">
        <f>AVERAGE(W39:AA39)</f>
        <v>0.24012570202573474</v>
      </c>
      <c r="AC39" s="168">
        <f>STDEV(W39:AA39)</f>
        <v>0.020217144946284793</v>
      </c>
      <c r="AD39" s="168">
        <f>AC39/5^0.5</f>
        <v>0.009041382082171825</v>
      </c>
      <c r="AE39" s="169" t="s">
        <v>41</v>
      </c>
      <c r="AF39" s="170">
        <f>100*(AD39/AB39)</f>
        <v>3.7652704420632337</v>
      </c>
      <c r="AG39" s="188">
        <v>0.2</v>
      </c>
      <c r="AH39" s="184">
        <v>2</v>
      </c>
      <c r="AI39" s="190">
        <f>100*((AG39/AH39))/I39</f>
        <v>1.326259946949602</v>
      </c>
      <c r="AJ39" s="46">
        <v>0.29</v>
      </c>
      <c r="AK39" s="47">
        <f>100*(($O$27/3^0.5)/AB39)</f>
        <v>4.8087336284196285</v>
      </c>
      <c r="AL39" s="200">
        <f>((M39^2)+(U39^2)+(AI39^2)+(AJ39^2)+(AK39^2))^0.5</f>
        <v>6.303218850197033</v>
      </c>
      <c r="AM39" s="198">
        <f>AB39</f>
        <v>0.24012570202573474</v>
      </c>
      <c r="AN39" s="199" t="str">
        <f>AE39</f>
        <v>mm</v>
      </c>
      <c r="AO39" s="134">
        <f>(AL39)^4/((M39/4)^4)</f>
        <v>2010.503392301202</v>
      </c>
      <c r="AP39" s="134">
        <f>IF(AO39&gt;1000,2,TINV(0.0455,AO39))</f>
        <v>2</v>
      </c>
      <c r="AQ39" s="201">
        <f>AL39*AP39</f>
        <v>12.606437700394066</v>
      </c>
      <c r="AR39" s="81"/>
      <c r="AS39" s="5"/>
      <c r="AT39" s="206">
        <v>1</v>
      </c>
      <c r="AU39" s="95">
        <f>C39</f>
        <v>1</v>
      </c>
      <c r="AV39" s="209">
        <f>AU39*$E$14</f>
        <v>0.254</v>
      </c>
      <c r="AW39" s="96">
        <f>AB39</f>
        <v>0.24012570202573474</v>
      </c>
      <c r="AX39" s="212">
        <f>((AW39-AV39)*100)/AV39</f>
        <v>-5.4623220371123065</v>
      </c>
      <c r="AY39" s="97">
        <f>IF(AQ39&gt;AR39,AQ39,AR39)</f>
        <v>12.606437700394066</v>
      </c>
      <c r="AZ39" s="214">
        <f>AP39</f>
        <v>2</v>
      </c>
      <c r="BA39" s="8"/>
      <c r="BB39" s="41"/>
    </row>
    <row r="40" spans="1:54" ht="12.75">
      <c r="A40" s="83">
        <v>2</v>
      </c>
      <c r="B40" s="120">
        <f>C40*$E$14</f>
        <v>0.508</v>
      </c>
      <c r="C40" s="133">
        <v>2</v>
      </c>
      <c r="D40" s="232">
        <v>15</v>
      </c>
      <c r="E40" s="232">
        <v>15</v>
      </c>
      <c r="F40" s="232">
        <v>14.7</v>
      </c>
      <c r="G40" s="232">
        <v>15.1</v>
      </c>
      <c r="H40" s="232">
        <v>14.1</v>
      </c>
      <c r="I40" s="231">
        <f>AVERAGE(D40:H40)</f>
        <v>14.780000000000001</v>
      </c>
      <c r="J40" s="73">
        <f>STDEV(D40:H40)</f>
        <v>0.4086563348340511</v>
      </c>
      <c r="K40" s="73">
        <f>J40/(5^0.5)</f>
        <v>0.18275666882497069</v>
      </c>
      <c r="L40" s="135" t="str">
        <f>$E$35</f>
        <v>g</v>
      </c>
      <c r="M40" s="160">
        <f>K40*100/(I40)</f>
        <v>1.2365133208726027</v>
      </c>
      <c r="N40" s="232">
        <v>22.53</v>
      </c>
      <c r="O40" s="232">
        <v>22.19</v>
      </c>
      <c r="P40" s="232">
        <v>26.2</v>
      </c>
      <c r="Q40" s="232">
        <v>25.69</v>
      </c>
      <c r="R40" s="217">
        <f>((AB40)*3600)/(AVERAGE(N40:Q40))</f>
        <v>70.15879895230981</v>
      </c>
      <c r="S40" s="165">
        <v>0.1</v>
      </c>
      <c r="T40" s="162">
        <f>S40/3^0.5</f>
        <v>0.05773502691896258</v>
      </c>
      <c r="U40" s="79">
        <f>(T40*100)/I40</f>
        <v>0.3906294108184207</v>
      </c>
      <c r="V40" s="161" t="s">
        <v>41</v>
      </c>
      <c r="W40" s="70">
        <f>(D40*1000)/(PI()*($N$27/2)^2)</f>
        <v>0.47770365124483044</v>
      </c>
      <c r="X40" s="70">
        <f>(E40*1000)/(PI()*($N$27/2)^2)</f>
        <v>0.47770365124483044</v>
      </c>
      <c r="Y40" s="70">
        <f>(F40*1000)/(PI()*($N$27/2)^2)</f>
        <v>0.46814957821993386</v>
      </c>
      <c r="Z40" s="70">
        <f>(G40*1000)/(PI()*($N$27/2)^2)</f>
        <v>0.4808883422531293</v>
      </c>
      <c r="AA40" s="70">
        <f>(H40*1000)/(PI()*($N$27/2)^2)</f>
        <v>0.44904143217014064</v>
      </c>
      <c r="AB40" s="71">
        <f>AVERAGE(W40:AA40)</f>
        <v>0.4706973310265729</v>
      </c>
      <c r="AC40" s="71">
        <f>STDEV(W40:AA40)</f>
        <v>0.013014441550303733</v>
      </c>
      <c r="AD40" s="71">
        <f>AC40/5^0.5</f>
        <v>0.005820235199135379</v>
      </c>
      <c r="AE40" s="72" t="s">
        <v>41</v>
      </c>
      <c r="AF40" s="78">
        <f>100*(AD40/AB40)</f>
        <v>1.2365133208726016</v>
      </c>
      <c r="AG40" s="188">
        <v>0.2</v>
      </c>
      <c r="AH40" s="184">
        <v>2</v>
      </c>
      <c r="AI40" s="191">
        <f>100*((AG40/AH40))/I40</f>
        <v>0.6765899864682002</v>
      </c>
      <c r="AJ40" s="129">
        <v>0.29</v>
      </c>
      <c r="AK40" s="128">
        <f>100*(($O$27/3^0.5)/AB40)</f>
        <v>2.4531699295185385</v>
      </c>
      <c r="AL40" s="200">
        <f>((M40^2)+(U40^2)+(AI40^2)+(AJ40^2)+(AK40^2))^0.5</f>
        <v>2.8707966215276848</v>
      </c>
      <c r="AM40" s="198">
        <f>AB40</f>
        <v>0.4706973310265729</v>
      </c>
      <c r="AN40" s="199" t="str">
        <f>AE40</f>
        <v>mm</v>
      </c>
      <c r="AO40" s="134">
        <f>(AL40)^4/((M40/4)^4)</f>
        <v>7437.970880686105</v>
      </c>
      <c r="AP40" s="134">
        <f>IF(AO40&gt;1000,2,TINV(0.0455,AO40))</f>
        <v>2</v>
      </c>
      <c r="AQ40" s="201">
        <f>AL40*AP40</f>
        <v>5.7415932430553696</v>
      </c>
      <c r="AR40" s="81"/>
      <c r="AT40" s="207">
        <v>2</v>
      </c>
      <c r="AU40" s="208">
        <f>C40</f>
        <v>2</v>
      </c>
      <c r="AV40" s="210">
        <f>AU40*$E$14</f>
        <v>0.508</v>
      </c>
      <c r="AW40" s="211">
        <f>AB40</f>
        <v>0.4706973310265729</v>
      </c>
      <c r="AX40" s="213">
        <f>((AW40-AV40)*100)/AV40</f>
        <v>-7.343045073509271</v>
      </c>
      <c r="AY40" s="216">
        <f>IF(AQ40&gt;AR40,AQ40,AR40)</f>
        <v>5.7415932430553696</v>
      </c>
      <c r="AZ40" s="215">
        <f>AP40</f>
        <v>2</v>
      </c>
      <c r="BA40" s="8"/>
      <c r="BB40" s="41"/>
    </row>
    <row r="41" spans="1:54" ht="12.75">
      <c r="A41" s="83">
        <v>3</v>
      </c>
      <c r="B41" s="120">
        <f>C41*$E$14</f>
        <v>1.27</v>
      </c>
      <c r="C41" s="133">
        <v>5</v>
      </c>
      <c r="D41" s="232">
        <v>39.1</v>
      </c>
      <c r="E41" s="232">
        <v>39.1</v>
      </c>
      <c r="F41" s="232">
        <v>37.6</v>
      </c>
      <c r="G41" s="232">
        <v>38</v>
      </c>
      <c r="H41" s="232">
        <v>37.6</v>
      </c>
      <c r="I41" s="231">
        <f>AVERAGE(D41:H41)</f>
        <v>38.28</v>
      </c>
      <c r="J41" s="73">
        <f>STDEV(D41:H41)</f>
        <v>0.7661592523751183</v>
      </c>
      <c r="K41" s="73">
        <f>J41/(5^0.5)</f>
        <v>0.3426368339802363</v>
      </c>
      <c r="L41" s="135" t="str">
        <f>$E$35</f>
        <v>g</v>
      </c>
      <c r="M41" s="160">
        <f>K41*100/(I41)</f>
        <v>0.8950805485377124</v>
      </c>
      <c r="N41" s="232">
        <v>25.09</v>
      </c>
      <c r="O41" s="232">
        <v>23.18</v>
      </c>
      <c r="P41" s="232">
        <v>30.25</v>
      </c>
      <c r="Q41" s="232">
        <v>26.46</v>
      </c>
      <c r="R41" s="217">
        <f>((AB41)*3600)/(AVERAGE(N41:Q41))</f>
        <v>167.22267040261028</v>
      </c>
      <c r="S41" s="165">
        <v>0.1</v>
      </c>
      <c r="T41" s="162">
        <f>S41/3^0.5</f>
        <v>0.05773502691896258</v>
      </c>
      <c r="U41" s="79">
        <f>(T41*100)/I41</f>
        <v>0.15082295433375806</v>
      </c>
      <c r="V41" s="161" t="s">
        <v>41</v>
      </c>
      <c r="W41" s="70">
        <f>(D41*1000)/(PI()*($N$27/2)^2)</f>
        <v>1.245214184244858</v>
      </c>
      <c r="X41" s="70">
        <f>(E41*1000)/(PI()*($N$27/2)^2)</f>
        <v>1.245214184244858</v>
      </c>
      <c r="Y41" s="70">
        <f>(F41*1000)/(PI()*($N$27/2)^2)</f>
        <v>1.1974438191203751</v>
      </c>
      <c r="Z41" s="70">
        <f>(G41*1000)/(PI()*($N$27/2)^2)</f>
        <v>1.2101825831535704</v>
      </c>
      <c r="AA41" s="70">
        <f>(H41*1000)/(PI()*($N$27/2)^2)</f>
        <v>1.1974438191203751</v>
      </c>
      <c r="AB41" s="71">
        <f>AVERAGE(W41:AA41)</f>
        <v>1.2190997179768073</v>
      </c>
      <c r="AC41" s="71">
        <f>STDEV(W41:AA41)</f>
        <v>0.024399804819640204</v>
      </c>
      <c r="AD41" s="71">
        <f>AC41/5^0.5</f>
        <v>0.010911924442888498</v>
      </c>
      <c r="AE41" s="72" t="s">
        <v>41</v>
      </c>
      <c r="AF41" s="78">
        <f>100*(AD41/AB41)</f>
        <v>0.8950805485377112</v>
      </c>
      <c r="AG41" s="188">
        <v>0.2</v>
      </c>
      <c r="AH41" s="184">
        <v>2</v>
      </c>
      <c r="AI41" s="191">
        <f>100*((AG41/AH41))/I41</f>
        <v>0.2612330198537095</v>
      </c>
      <c r="AJ41" s="129">
        <v>0.29</v>
      </c>
      <c r="AK41" s="128">
        <f>100*(($O$27/3^0.5)/AB41)</f>
        <v>0.9471748055978054</v>
      </c>
      <c r="AL41" s="200">
        <f>((M41^2)+(U41^2)+(AI41^2)+(AJ41^2)+(AK41^2))^0.5</f>
        <v>1.3687218690974672</v>
      </c>
      <c r="AM41" s="198">
        <f>AB41</f>
        <v>1.2190997179768073</v>
      </c>
      <c r="AN41" s="199" t="str">
        <f>AE41</f>
        <v>mm</v>
      </c>
      <c r="AO41" s="134">
        <f>(AL41)^4/((M41/4)^4)</f>
        <v>1399.7559213317681</v>
      </c>
      <c r="AP41" s="134">
        <f>IF(AO41&gt;1000,2,TINV(0.0455,AO41))</f>
        <v>2</v>
      </c>
      <c r="AQ41" s="201">
        <f>AL41*AP41</f>
        <v>2.7374437381949344</v>
      </c>
      <c r="AR41" s="81"/>
      <c r="AT41" s="207">
        <v>3</v>
      </c>
      <c r="AU41" s="208">
        <f>C41</f>
        <v>5</v>
      </c>
      <c r="AV41" s="210">
        <f>AU41*$E$14</f>
        <v>1.27</v>
      </c>
      <c r="AW41" s="211">
        <f>AB41</f>
        <v>1.2190997179768073</v>
      </c>
      <c r="AX41" s="213">
        <f>((AW41-AV41)*100)/AV41</f>
        <v>-4.007896222298641</v>
      </c>
      <c r="AY41" s="216">
        <f>IF(AQ41&gt;AR41,AQ41,AR41)</f>
        <v>2.7374437381949344</v>
      </c>
      <c r="AZ41" s="215">
        <f>AP41</f>
        <v>2</v>
      </c>
      <c r="BA41" s="8"/>
      <c r="BB41" s="41"/>
    </row>
    <row r="42" spans="1:54" ht="12.75">
      <c r="A42" s="83">
        <v>4</v>
      </c>
      <c r="B42" s="120">
        <f>C42*$E$14</f>
        <v>2.54</v>
      </c>
      <c r="C42" s="133">
        <v>10</v>
      </c>
      <c r="D42" s="232">
        <v>78.4</v>
      </c>
      <c r="E42" s="232">
        <v>77.5</v>
      </c>
      <c r="F42" s="232">
        <v>74.8</v>
      </c>
      <c r="G42" s="232">
        <v>76.3</v>
      </c>
      <c r="H42" s="232">
        <v>74.7</v>
      </c>
      <c r="I42" s="231">
        <f>AVERAGE(D42:H42)</f>
        <v>76.34</v>
      </c>
      <c r="J42" s="73">
        <f>STDEV(D42:H42)</f>
        <v>1.6318700928689165</v>
      </c>
      <c r="K42" s="73">
        <f>J42/(5^0.5)</f>
        <v>0.7297944916207584</v>
      </c>
      <c r="L42" s="135" t="str">
        <f>$E$35</f>
        <v>g</v>
      </c>
      <c r="M42" s="160">
        <f>K42*100/(I42)</f>
        <v>0.9559791611484915</v>
      </c>
      <c r="N42" s="232">
        <v>23.19</v>
      </c>
      <c r="O42" s="232">
        <v>25.34</v>
      </c>
      <c r="P42" s="232">
        <v>19.25</v>
      </c>
      <c r="Q42" s="232">
        <v>26.94</v>
      </c>
      <c r="R42" s="217">
        <f>((AB42)*3600)/(AVERAGE(N42:Q42))</f>
        <v>369.6070615138211</v>
      </c>
      <c r="S42" s="165">
        <v>0.1</v>
      </c>
      <c r="T42" s="162">
        <f>S42/3^0.5</f>
        <v>0.05773502691896258</v>
      </c>
      <c r="U42" s="79">
        <f>(T42*100)/I42</f>
        <v>0.07562880130857032</v>
      </c>
      <c r="V42" s="161" t="s">
        <v>41</v>
      </c>
      <c r="W42" s="70">
        <f>(D42*1000)/(PI()*($N$27/2)^2)</f>
        <v>2.496797750506314</v>
      </c>
      <c r="X42" s="70">
        <f>(E42*1000)/(PI()*($N$27/2)^2)</f>
        <v>2.4681355314316242</v>
      </c>
      <c r="Y42" s="70">
        <f>(F42*1000)/(PI()*($N$27/2)^2)</f>
        <v>2.3821488742075547</v>
      </c>
      <c r="Z42" s="70">
        <f>(G42*1000)/(PI()*($N$27/2)^2)</f>
        <v>2.4299192393320377</v>
      </c>
      <c r="AA42" s="70">
        <f>(H42*1000)/(PI()*($N$27/2)^2)</f>
        <v>2.3789641831992556</v>
      </c>
      <c r="AB42" s="71">
        <f>AVERAGE(W42:AA42)</f>
        <v>2.431193115735357</v>
      </c>
      <c r="AC42" s="71">
        <f>STDEV(W42:AA42)</f>
        <v>0.051970020114714764</v>
      </c>
      <c r="AD42" s="71">
        <f>AC42/5^0.5</f>
        <v>0.023241699553706724</v>
      </c>
      <c r="AE42" s="72" t="s">
        <v>41</v>
      </c>
      <c r="AF42" s="78">
        <f>100*(AD42/AB42)</f>
        <v>0.9559791611484909</v>
      </c>
      <c r="AG42" s="188">
        <v>0.2</v>
      </c>
      <c r="AH42" s="184">
        <v>2</v>
      </c>
      <c r="AI42" s="191">
        <f>100*((AG42/AH42))/I42</f>
        <v>0.13099292638197538</v>
      </c>
      <c r="AJ42" s="129">
        <v>0.29</v>
      </c>
      <c r="AK42" s="128">
        <f>100*(($O$27/3^0.5)/AB42)</f>
        <v>0.47495220799428867</v>
      </c>
      <c r="AL42" s="200">
        <f>((M42^2)+(U42^2)+(AI42^2)+(AJ42^2)+(AK42^2))^0.5</f>
        <v>1.1164473201984535</v>
      </c>
      <c r="AM42" s="198">
        <f>AB42</f>
        <v>2.431193115735357</v>
      </c>
      <c r="AN42" s="199" t="str">
        <f>AE42</f>
        <v>mm</v>
      </c>
      <c r="AO42" s="134">
        <f>(AL42)^4/((M42/4)^4)</f>
        <v>476.210762123222</v>
      </c>
      <c r="AP42" s="134">
        <f>IF(AO42&gt;1000,2,TINV(0.0455,AO42))</f>
        <v>2.0052681044776883</v>
      </c>
      <c r="AQ42" s="201">
        <f>AL42*AP42</f>
        <v>2.2387762015235477</v>
      </c>
      <c r="AR42" s="81"/>
      <c r="AT42" s="207">
        <v>4</v>
      </c>
      <c r="AU42" s="208">
        <f>C42</f>
        <v>10</v>
      </c>
      <c r="AV42" s="210">
        <f>AU42*$E$14</f>
        <v>2.54</v>
      </c>
      <c r="AW42" s="211">
        <f>AB42</f>
        <v>2.431193115735357</v>
      </c>
      <c r="AX42" s="213">
        <f>((AW42-AV42)*100)/AV42</f>
        <v>-4.283735600970206</v>
      </c>
      <c r="AY42" s="216">
        <f>IF(AQ42&gt;AR42,AQ42,AR42)</f>
        <v>2.2387762015235477</v>
      </c>
      <c r="AZ42" s="215">
        <f>AP42</f>
        <v>2.0052681044776883</v>
      </c>
      <c r="BA42" s="8"/>
      <c r="BB42" s="41"/>
    </row>
    <row r="43" spans="1:54" ht="12.75">
      <c r="A43" s="83">
        <v>5</v>
      </c>
      <c r="B43" s="120">
        <f>C43*$E$14</f>
        <v>5.08</v>
      </c>
      <c r="C43" s="133">
        <v>20</v>
      </c>
      <c r="D43" s="232">
        <v>158</v>
      </c>
      <c r="E43" s="232">
        <v>150.1</v>
      </c>
      <c r="F43" s="232">
        <v>157.6</v>
      </c>
      <c r="G43" s="232">
        <v>153.1</v>
      </c>
      <c r="H43" s="232">
        <v>147.3</v>
      </c>
      <c r="I43" s="231">
        <f>AVERAGE(D43:H43)</f>
        <v>153.22000000000003</v>
      </c>
      <c r="J43" s="73">
        <f>STDEV(D43:H43)</f>
        <v>4.659077161842243</v>
      </c>
      <c r="K43" s="73">
        <f>J43/(5^0.5)</f>
        <v>2.0836026492592086</v>
      </c>
      <c r="L43" s="135" t="str">
        <f>$E$35</f>
        <v>g</v>
      </c>
      <c r="M43" s="160">
        <f>K43*100/(I43)</f>
        <v>1.3598764190439945</v>
      </c>
      <c r="N43" s="232">
        <v>22.4</v>
      </c>
      <c r="O43" s="232">
        <v>25.9</v>
      </c>
      <c r="P43" s="232">
        <v>20.4</v>
      </c>
      <c r="Q43" s="232">
        <v>24.31</v>
      </c>
      <c r="R43" s="217">
        <f>((AB43)*3600)/(AVERAGE(N43:Q43))</f>
        <v>755.4671896138439</v>
      </c>
      <c r="S43" s="165">
        <v>0.1</v>
      </c>
      <c r="T43" s="162">
        <f>S43/3^0.5</f>
        <v>0.05773502691896258</v>
      </c>
      <c r="U43" s="79">
        <f>(T43*100)/I43</f>
        <v>0.03768112969518508</v>
      </c>
      <c r="V43" s="161" t="s">
        <v>41</v>
      </c>
      <c r="W43" s="70">
        <f>(D43*1000)/(PI()*($N$27/2)^2)</f>
        <v>5.031811793112214</v>
      </c>
      <c r="X43" s="70">
        <f>(E43*1000)/(PI()*($N$27/2)^2)</f>
        <v>4.780221203456604</v>
      </c>
      <c r="Y43" s="70">
        <f>(F43*1000)/(PI()*($N$27/2)^2)</f>
        <v>5.019073029079019</v>
      </c>
      <c r="Z43" s="70">
        <f>(G43*1000)/(PI()*($N$27/2)^2)</f>
        <v>4.8757619337055695</v>
      </c>
      <c r="AA43" s="70">
        <f>(H43*1000)/(PI()*($N$27/2)^2)</f>
        <v>4.691049855224235</v>
      </c>
      <c r="AB43" s="71">
        <f>AVERAGE(W43:AA43)</f>
        <v>4.879583562915529</v>
      </c>
      <c r="AC43" s="71">
        <f>STDEV(W43:AA43)</f>
        <v>0.14837721144289628</v>
      </c>
      <c r="AD43" s="71">
        <f>AC43/5^0.5</f>
        <v>0.06635630621963515</v>
      </c>
      <c r="AE43" s="72" t="s">
        <v>41</v>
      </c>
      <c r="AF43" s="78">
        <f>100*(AD43/AB43)</f>
        <v>1.3598764190439965</v>
      </c>
      <c r="AG43" s="188">
        <v>0.2</v>
      </c>
      <c r="AH43" s="184">
        <v>2</v>
      </c>
      <c r="AI43" s="191">
        <f>100*((AG43/AH43))/I43</f>
        <v>0.06526563111865291</v>
      </c>
      <c r="AJ43" s="129">
        <v>0.29</v>
      </c>
      <c r="AK43" s="128">
        <f>100*(($O$27/3^0.5)/AB43)</f>
        <v>0.23663915649578376</v>
      </c>
      <c r="AL43" s="200">
        <f>((M43^2)+(U43^2)+(AI43^2)+(AJ43^2)+(AK43^2))^0.5</f>
        <v>1.4124593571495696</v>
      </c>
      <c r="AM43" s="198">
        <f>AB43</f>
        <v>4.879583562915529</v>
      </c>
      <c r="AN43" s="199" t="str">
        <f>AE43</f>
        <v>mm</v>
      </c>
      <c r="AO43" s="134">
        <f>(AL43)^4/((M43/4)^4)</f>
        <v>297.9518138983466</v>
      </c>
      <c r="AP43" s="134">
        <f>IF(AO43&gt;1000,2,TINV(0.0455,AO43))</f>
        <v>2.008454807293966</v>
      </c>
      <c r="AQ43" s="201">
        <f>AL43*AP43</f>
        <v>2.8368607859743977</v>
      </c>
      <c r="AR43" s="81"/>
      <c r="AT43" s="207">
        <v>5</v>
      </c>
      <c r="AU43" s="208">
        <f>C43</f>
        <v>20</v>
      </c>
      <c r="AV43" s="210">
        <f>AU43*$E$14</f>
        <v>5.08</v>
      </c>
      <c r="AW43" s="211">
        <f>AB43</f>
        <v>4.879583562915529</v>
      </c>
      <c r="AX43" s="213">
        <f>((AW43-AV43)*100)/AV43</f>
        <v>-3.945205454418729</v>
      </c>
      <c r="AY43" s="216">
        <f>IF(AQ43&gt;AR43,AQ43,AR43)</f>
        <v>2.8368607859743977</v>
      </c>
      <c r="AZ43" s="215">
        <f>AP43</f>
        <v>2.008454807293966</v>
      </c>
      <c r="BA43" s="8"/>
      <c r="BB43" s="41"/>
    </row>
    <row r="44" spans="5:54" ht="15">
      <c r="E44" s="28"/>
      <c r="F44" s="28"/>
      <c r="G44" s="28"/>
      <c r="H44" s="28"/>
      <c r="J44" s="3"/>
      <c r="K44" s="29"/>
      <c r="L44" s="30"/>
      <c r="M44" s="23"/>
      <c r="N44" s="23"/>
      <c r="O44" s="23"/>
      <c r="P44" s="23"/>
      <c r="Q44" s="23"/>
      <c r="R44" s="23"/>
      <c r="S44" s="28"/>
      <c r="T44" s="31"/>
      <c r="U44" s="23"/>
      <c r="W44" s="32"/>
      <c r="X44" s="32"/>
      <c r="Y44" s="32"/>
      <c r="Z44" s="32"/>
      <c r="AA44" s="32"/>
      <c r="AB44" s="7"/>
      <c r="AC44" s="33"/>
      <c r="AD44" s="19"/>
      <c r="AE44" s="24"/>
      <c r="AF44" s="34"/>
      <c r="AG44" s="26"/>
      <c r="AH44" s="26"/>
      <c r="AI44" s="31"/>
      <c r="AJ44" s="25"/>
      <c r="AK44" s="25"/>
      <c r="AL44" s="35"/>
      <c r="AM44" s="35"/>
      <c r="AN44" s="20"/>
      <c r="AO44" s="9"/>
      <c r="AP44" s="9"/>
      <c r="AQ44" s="9"/>
      <c r="AR44" s="36"/>
      <c r="AT44" s="21"/>
      <c r="AU44" s="21"/>
      <c r="AV44" s="205"/>
      <c r="AW44" s="37"/>
      <c r="AX44" s="8"/>
      <c r="AY44" s="22"/>
      <c r="AZ44" s="8"/>
      <c r="BA44" s="8"/>
      <c r="BB44" s="41"/>
    </row>
  </sheetData>
  <sheetProtection/>
  <mergeCells count="10">
    <mergeCell ref="N33:O33"/>
    <mergeCell ref="D33:E33"/>
    <mergeCell ref="A34:B34"/>
    <mergeCell ref="A35:B35"/>
    <mergeCell ref="A36:B36"/>
    <mergeCell ref="A28:B28"/>
    <mergeCell ref="A29:B29"/>
    <mergeCell ref="A32:B32"/>
    <mergeCell ref="A30:B30"/>
    <mergeCell ref="A33:B33"/>
  </mergeCells>
  <printOptions horizontalCentered="1" verticalCentered="1"/>
  <pageMargins left="0.35433070866141736" right="0.2362204724409449" top="0.4724409448818898" bottom="0.4724409448818898" header="0.2755905511811024" footer="0.2362204724409449"/>
  <pageSetup horizontalDpi="600" verticalDpi="600" orientation="landscape" paperSize="9" scale="60" r:id="rId2"/>
  <headerFooter alignWithMargins="0">
    <oddFooter>&amp;LPág:&amp;P/&amp;N (&amp;F- CALCULO)</oddFooter>
  </headerFooter>
  <colBreaks count="2" manualBreakCount="2">
    <brk id="32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</dc:creator>
  <cp:keywords/>
  <dc:description/>
  <cp:lastModifiedBy>Yoshiaki Sakagami</cp:lastModifiedBy>
  <cp:lastPrinted>2009-02-06T13:20:56Z</cp:lastPrinted>
  <dcterms:created xsi:type="dcterms:W3CDTF">2002-03-18T17:33:51Z</dcterms:created>
  <dcterms:modified xsi:type="dcterms:W3CDTF">2019-04-10T11:48:58Z</dcterms:modified>
  <cp:category/>
  <cp:version/>
  <cp:contentType/>
  <cp:contentStatus/>
</cp:coreProperties>
</file>